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6" i="1" l="1"/>
  <c r="AD38" i="1" l="1"/>
  <c r="AI38" i="1"/>
  <c r="AD25" i="1" l="1"/>
  <c r="AD27" i="1" s="1"/>
  <c r="AD28" i="1" s="1"/>
  <c r="AD6" i="1"/>
  <c r="AD9" i="1"/>
  <c r="AD8" i="1"/>
  <c r="AD10" i="1" s="1"/>
  <c r="AD20" i="1"/>
  <c r="AD19" i="1"/>
  <c r="I38" i="1"/>
  <c r="I25" i="1"/>
  <c r="AD11" i="1" l="1"/>
  <c r="AD12" i="1"/>
  <c r="AD46" i="1"/>
  <c r="AD47" i="1" s="1"/>
  <c r="B34" i="1"/>
  <c r="I20" i="1"/>
  <c r="I19" i="1"/>
  <c r="I27" i="1"/>
  <c r="I28" i="1" s="1"/>
  <c r="I10" i="1"/>
  <c r="I12" i="1"/>
  <c r="I39" i="1"/>
  <c r="I33" i="1"/>
  <c r="I37" i="1" s="1"/>
  <c r="I9" i="1"/>
  <c r="I11" i="1" s="1"/>
  <c r="B28" i="1"/>
  <c r="B30" i="1" s="1"/>
  <c r="I32" i="1" s="1"/>
  <c r="I36" i="1" s="1"/>
  <c r="I48" i="1" s="1"/>
  <c r="I49" i="1" s="1"/>
  <c r="D21" i="1"/>
  <c r="C21" i="1"/>
  <c r="B21" i="1"/>
  <c r="AD43" i="1" l="1"/>
  <c r="AD30" i="1"/>
  <c r="AD44" i="1"/>
  <c r="I41" i="1"/>
  <c r="I44" i="1" s="1"/>
  <c r="I40" i="1"/>
  <c r="I43" i="1" s="1"/>
  <c r="I30" i="1"/>
</calcChain>
</file>

<file path=xl/comments1.xml><?xml version="1.0" encoding="utf-8"?>
<comments xmlns="http://schemas.openxmlformats.org/spreadsheetml/2006/main">
  <authors>
    <author>Thompson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Pick a position to make all measurements from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Pick a position to make all measurements from</t>
        </r>
      </text>
    </comment>
    <comment ref="AD7" authorId="0">
      <text>
        <r>
          <rPr>
            <b/>
            <sz val="9"/>
            <color indexed="81"/>
            <rFont val="Tahoma"/>
            <family val="2"/>
          </rPr>
          <t>I cut an inch off each end to clean it up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Projected area of the exposed portion</t>
        </r>
      </text>
    </comment>
    <comment ref="AD16" authorId="0">
      <text>
        <r>
          <rPr>
            <b/>
            <sz val="9"/>
            <color indexed="81"/>
            <rFont val="Tahoma"/>
            <family val="2"/>
          </rPr>
          <t>Projected area of the exposed portion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Measured from Datum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Measured from Datum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The inherent CG of the motor measured from the front of the motor casing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The inherent CG of the motor measured from the front of the motor casing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Front of Motor from chosen datum position. Play with this number to adjust the rocket CG</t>
        </r>
      </text>
    </comment>
    <comment ref="AD25" authorId="0">
      <text>
        <r>
          <rPr>
            <b/>
            <sz val="9"/>
            <color indexed="81"/>
            <rFont val="Tahoma"/>
            <family val="2"/>
          </rPr>
          <t>Front of Motor from chosen datum position. Play with this number to adjust the rocket CG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The CG of the motor from the rocket datum</t>
        </r>
      </text>
    </comment>
    <comment ref="AD27" authorId="0">
      <text>
        <r>
          <rPr>
            <b/>
            <sz val="9"/>
            <color indexed="81"/>
            <rFont val="Tahoma"/>
            <family val="2"/>
          </rPr>
          <t>The CG of the motor from the rocket datum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Combined tube and motor CG measured from datum</t>
        </r>
      </text>
    </comment>
    <comment ref="AD30" authorId="0">
      <text>
        <r>
          <rPr>
            <b/>
            <sz val="9"/>
            <color indexed="81"/>
            <rFont val="Tahoma"/>
            <family val="2"/>
          </rPr>
          <t>Combined tube and motor CG measured from datum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The Area of a single fin. Play with this number to adjust CG &amp; CP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The Area of a single fin. Play with this number to adjust CG &amp; CP</t>
        </r>
      </text>
    </comment>
    <comment ref="AI33" authorId="0">
      <text>
        <r>
          <rPr>
            <b/>
            <sz val="9"/>
            <color indexed="81"/>
            <rFont val="Tahoma"/>
            <family val="2"/>
          </rPr>
          <t>Pick 4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Longitudional Centroid of Fin Shape measured from leading edge root</t>
        </r>
      </text>
    </comment>
    <comment ref="AD34" authorId="0">
      <text>
        <r>
          <rPr>
            <b/>
            <sz val="9"/>
            <color indexed="81"/>
            <rFont val="Tahoma"/>
            <family val="2"/>
          </rPr>
          <t>Longitudional Centroid of Fin Shape measured from leading edge root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Equation depends on # of fins. Edit eqn accordingly and THINK before accepting calculation</t>
        </r>
      </text>
    </comment>
    <comment ref="AD37" authorId="0">
      <text>
        <r>
          <rPr>
            <b/>
            <sz val="9"/>
            <color indexed="81"/>
            <rFont val="Tahoma"/>
            <family val="2"/>
          </rPr>
          <t>Equation depends on # of fins. Edit eqn accordingly and THINK before accepting calculation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The Distance from the datum to the leading edge root. Play with this to adjust CG &amp; CP</t>
        </r>
      </text>
    </comment>
    <comment ref="AD38" authorId="0">
      <text>
        <r>
          <rPr>
            <b/>
            <sz val="9"/>
            <color indexed="81"/>
            <rFont val="Tahoma"/>
            <family val="2"/>
          </rPr>
          <t>The Distance from the datum to the leading edge root. Play with this to adjust CG &amp; CP</t>
        </r>
      </text>
    </comment>
    <comment ref="AI38" authorId="0">
      <text>
        <r>
          <rPr>
            <b/>
            <sz val="9"/>
            <color indexed="81"/>
            <rFont val="Tahoma"/>
            <family val="2"/>
          </rPr>
          <t>The fin shall be a trapezoid of some kind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Fin CG from datum</t>
        </r>
      </text>
    </comment>
    <comment ref="AD39" authorId="0">
      <text>
        <r>
          <rPr>
            <b/>
            <sz val="9"/>
            <color indexed="81"/>
            <rFont val="Tahoma"/>
            <family val="2"/>
          </rPr>
          <t>Fin CG from datum</t>
        </r>
      </text>
    </comment>
  </commentList>
</comments>
</file>

<file path=xl/sharedStrings.xml><?xml version="1.0" encoding="utf-8"?>
<sst xmlns="http://schemas.openxmlformats.org/spreadsheetml/2006/main" count="198" uniqueCount="89">
  <si>
    <t>Model Rocket Design</t>
  </si>
  <si>
    <t>Major Items</t>
  </si>
  <si>
    <t>Body Tube</t>
  </si>
  <si>
    <t>Motor</t>
  </si>
  <si>
    <t>Nosecone</t>
  </si>
  <si>
    <t>Fins</t>
  </si>
  <si>
    <t>Minor Items</t>
  </si>
  <si>
    <t>Launch Lugs</t>
  </si>
  <si>
    <t>Motor Mount</t>
  </si>
  <si>
    <t>Recovery</t>
  </si>
  <si>
    <t>Material Properties</t>
  </si>
  <si>
    <t>Body Tube Weight</t>
  </si>
  <si>
    <t>Body Tube Length</t>
  </si>
  <si>
    <t>Body Tube D</t>
  </si>
  <si>
    <t>Option 1</t>
  </si>
  <si>
    <t>Option 2</t>
  </si>
  <si>
    <t>Option 3</t>
  </si>
  <si>
    <t>GC Location</t>
  </si>
  <si>
    <t>Motor Length</t>
  </si>
  <si>
    <t>Motor Diameter</t>
  </si>
  <si>
    <t>Motor CG</t>
  </si>
  <si>
    <t>Motor Weight (Full)</t>
  </si>
  <si>
    <t>grams</t>
  </si>
  <si>
    <t>inches</t>
  </si>
  <si>
    <t>Fin Blank Area</t>
  </si>
  <si>
    <t>Fin Blank Weight</t>
  </si>
  <si>
    <t>Fin Specific Wt</t>
  </si>
  <si>
    <t>sq in</t>
  </si>
  <si>
    <t>g</t>
  </si>
  <si>
    <t>g/sqin</t>
  </si>
  <si>
    <t>Datum Position</t>
  </si>
  <si>
    <t>Body Tube Front</t>
  </si>
  <si>
    <t>Design Alpha</t>
  </si>
  <si>
    <t>BT L</t>
  </si>
  <si>
    <t>BT D</t>
  </si>
  <si>
    <t>BT W</t>
  </si>
  <si>
    <t>BT CG</t>
  </si>
  <si>
    <t>in</t>
  </si>
  <si>
    <t>Motor W</t>
  </si>
  <si>
    <t>Motor L</t>
  </si>
  <si>
    <t>Motor Positon</t>
  </si>
  <si>
    <t>Motor CGr</t>
  </si>
  <si>
    <t>g-in</t>
  </si>
  <si>
    <t>BT&amp;Motor CG</t>
  </si>
  <si>
    <t>Fin Spc Wt</t>
  </si>
  <si>
    <t>Fin Area</t>
  </si>
  <si>
    <t>Fin Centroid r</t>
  </si>
  <si>
    <t>Fin Count</t>
  </si>
  <si>
    <t># of Fins</t>
  </si>
  <si>
    <t>Fin Centroid</t>
  </si>
  <si>
    <t>Total Weight</t>
  </si>
  <si>
    <t>Projected Area</t>
  </si>
  <si>
    <t>Fin Position</t>
  </si>
  <si>
    <t>Green cells are design choices that can be adjusted to achieve stability</t>
  </si>
  <si>
    <t>Fin Area Moment</t>
  </si>
  <si>
    <t>Fin Mass Moment</t>
  </si>
  <si>
    <t>in^3</t>
  </si>
  <si>
    <t>BT Mass Moment</t>
  </si>
  <si>
    <t>Motor Mass Moment</t>
  </si>
  <si>
    <t>BT Area Moment</t>
  </si>
  <si>
    <t>BT Projected Area</t>
  </si>
  <si>
    <t>Nosecone W</t>
  </si>
  <si>
    <t>Nosecone L</t>
  </si>
  <si>
    <t>Nosecone Area</t>
  </si>
  <si>
    <t>Nose CG</t>
  </si>
  <si>
    <t>Nosecone CP</t>
  </si>
  <si>
    <t>Nose, BT, Motor, Fins CP</t>
  </si>
  <si>
    <t>Nose Mass Moment</t>
  </si>
  <si>
    <t>Nose Area Moment</t>
  </si>
  <si>
    <t>Recovery Sys Wt</t>
  </si>
  <si>
    <t>RS Loc</t>
  </si>
  <si>
    <t>Nose, RS, BT, Motor, Fins CG</t>
  </si>
  <si>
    <t>RS CG Moment</t>
  </si>
  <si>
    <t>Launch Mass</t>
  </si>
  <si>
    <t>oz</t>
  </si>
  <si>
    <t>Design Bravo</t>
  </si>
  <si>
    <t>Fin Design</t>
  </si>
  <si>
    <t>Root Chord</t>
  </si>
  <si>
    <t>Tip Chord</t>
  </si>
  <si>
    <t>LE Sweep</t>
  </si>
  <si>
    <t>TE Sweep</t>
  </si>
  <si>
    <t>Span</t>
  </si>
  <si>
    <t>deg</t>
  </si>
  <si>
    <t>Area</t>
  </si>
  <si>
    <t>calcresource.com/geom-trapezoid.html</t>
  </si>
  <si>
    <t>Xc</t>
  </si>
  <si>
    <t>Yc</t>
  </si>
  <si>
    <t xml:space="preserve">  Actual CG</t>
  </si>
  <si>
    <t xml:space="preserve">  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</si>
</sst>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/>
    <xf numFmtId="164" fontId="0" fillId="0" borderId="0" xfId="0" applyNumberFormat="1"/>
    <xf numFmtId="2" fontId="0" fillId="2" borderId="0" xfId="0" applyNumberFormat="1" applyFill="1"/>
    <xf numFmtId="0" fontId="0" fillId="2" borderId="0" xfId="0" applyFill="1"/>
    <xf numFmtId="2" fontId="0" fillId="0" borderId="0" xfId="0" applyNumberFormat="1" applyAlignment="1">
      <alignment horizontal="right"/>
    </xf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9"/>
  <sheetViews>
    <sheetView tabSelected="1" topLeftCell="A16" workbookViewId="0">
      <selection activeCell="I46" sqref="I46"/>
    </sheetView>
  </sheetViews>
  <sheetFormatPr defaultRowHeight="15" x14ac:dyDescent="0.25"/>
  <cols>
    <col min="1" max="1" width="17.85546875" customWidth="1"/>
    <col min="8" max="8" width="22.7109375" customWidth="1"/>
    <col min="9" max="9" width="15.5703125" bestFit="1" customWidth="1"/>
  </cols>
  <sheetData>
    <row r="1" spans="1:31" s="3" customFormat="1" ht="26.25" x14ac:dyDescent="0.4">
      <c r="A1" s="3" t="s">
        <v>0</v>
      </c>
    </row>
    <row r="2" spans="1:31" x14ac:dyDescent="0.25">
      <c r="H2" s="9" t="s">
        <v>53</v>
      </c>
      <c r="I2" s="9"/>
      <c r="J2" s="9"/>
      <c r="K2" s="9"/>
      <c r="L2" s="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31" ht="21" x14ac:dyDescent="0.35">
      <c r="A3" s="4" t="s">
        <v>1</v>
      </c>
      <c r="H3" s="2" t="s">
        <v>32</v>
      </c>
      <c r="AC3" s="13" t="s">
        <v>75</v>
      </c>
    </row>
    <row r="4" spans="1:31" ht="18.75" x14ac:dyDescent="0.3">
      <c r="A4" s="1" t="s">
        <v>2</v>
      </c>
      <c r="H4" t="s">
        <v>30</v>
      </c>
      <c r="I4" t="s">
        <v>31</v>
      </c>
      <c r="AC4" s="14" t="s">
        <v>30</v>
      </c>
      <c r="AD4" t="s">
        <v>31</v>
      </c>
    </row>
    <row r="5" spans="1:31" ht="18.75" x14ac:dyDescent="0.3">
      <c r="A5" s="1" t="s">
        <v>3</v>
      </c>
      <c r="AC5" s="14"/>
    </row>
    <row r="6" spans="1:31" ht="18.75" x14ac:dyDescent="0.3">
      <c r="A6" s="1" t="s">
        <v>4</v>
      </c>
      <c r="H6" t="s">
        <v>35</v>
      </c>
      <c r="I6" s="6">
        <v>18</v>
      </c>
      <c r="J6" t="s">
        <v>28</v>
      </c>
      <c r="AC6" s="14" t="s">
        <v>35</v>
      </c>
      <c r="AD6" s="6">
        <f>0.85*38</f>
        <v>32.299999999999997</v>
      </c>
      <c r="AE6" t="s">
        <v>28</v>
      </c>
    </row>
    <row r="7" spans="1:31" ht="18.75" x14ac:dyDescent="0.3">
      <c r="A7" s="1" t="s">
        <v>5</v>
      </c>
      <c r="H7" t="s">
        <v>33</v>
      </c>
      <c r="I7" s="6">
        <v>12.0625</v>
      </c>
      <c r="J7" t="s">
        <v>37</v>
      </c>
      <c r="AC7" s="14" t="s">
        <v>33</v>
      </c>
      <c r="AD7" s="6">
        <v>38</v>
      </c>
      <c r="AE7" t="s">
        <v>37</v>
      </c>
    </row>
    <row r="8" spans="1:31" x14ac:dyDescent="0.25">
      <c r="H8" t="s">
        <v>34</v>
      </c>
      <c r="I8" s="6">
        <v>1.08</v>
      </c>
      <c r="J8" t="s">
        <v>37</v>
      </c>
      <c r="AC8" s="14" t="s">
        <v>34</v>
      </c>
      <c r="AD8" s="6">
        <f>B20</f>
        <v>1.45</v>
      </c>
      <c r="AE8" t="s">
        <v>37</v>
      </c>
    </row>
    <row r="9" spans="1:31" x14ac:dyDescent="0.25">
      <c r="H9" t="s">
        <v>36</v>
      </c>
      <c r="I9" s="6">
        <f>I7/2</f>
        <v>6.03125</v>
      </c>
      <c r="J9" t="s">
        <v>37</v>
      </c>
      <c r="AC9" s="14" t="s">
        <v>36</v>
      </c>
      <c r="AD9" s="6">
        <f>AD7/2</f>
        <v>19</v>
      </c>
      <c r="AE9" t="s">
        <v>37</v>
      </c>
    </row>
    <row r="10" spans="1:31" ht="21" x14ac:dyDescent="0.35">
      <c r="A10" s="4" t="s">
        <v>6</v>
      </c>
      <c r="H10" t="s">
        <v>60</v>
      </c>
      <c r="I10" s="6">
        <f>I7*I8</f>
        <v>13.027500000000002</v>
      </c>
      <c r="J10" t="s">
        <v>27</v>
      </c>
      <c r="AC10" s="14" t="s">
        <v>60</v>
      </c>
      <c r="AD10" s="6">
        <f>AD7*AD8</f>
        <v>55.1</v>
      </c>
      <c r="AE10" t="s">
        <v>27</v>
      </c>
    </row>
    <row r="11" spans="1:31" ht="18.75" x14ac:dyDescent="0.3">
      <c r="A11" s="1" t="s">
        <v>7</v>
      </c>
      <c r="H11" t="s">
        <v>57</v>
      </c>
      <c r="I11" s="6">
        <f>I6*I9</f>
        <v>108.5625</v>
      </c>
      <c r="J11" t="s">
        <v>42</v>
      </c>
      <c r="AC11" s="14" t="s">
        <v>57</v>
      </c>
      <c r="AD11" s="6">
        <f>AD6*AD9</f>
        <v>613.69999999999993</v>
      </c>
      <c r="AE11" t="s">
        <v>42</v>
      </c>
    </row>
    <row r="12" spans="1:31" ht="18.75" x14ac:dyDescent="0.3">
      <c r="A12" s="1" t="s">
        <v>8</v>
      </c>
      <c r="H12" t="s">
        <v>59</v>
      </c>
      <c r="I12" s="6">
        <f>I7*I8*I9</f>
        <v>78.572109375000011</v>
      </c>
      <c r="J12" t="s">
        <v>56</v>
      </c>
      <c r="AC12" s="14" t="s">
        <v>59</v>
      </c>
      <c r="AD12" s="6">
        <f>AD7*AD8*AD9</f>
        <v>1046.9000000000001</v>
      </c>
      <c r="AE12" t="s">
        <v>56</v>
      </c>
    </row>
    <row r="13" spans="1:31" ht="18.75" x14ac:dyDescent="0.3">
      <c r="A13" s="1" t="s">
        <v>9</v>
      </c>
      <c r="AC13" s="14"/>
    </row>
    <row r="14" spans="1:31" x14ac:dyDescent="0.25">
      <c r="H14" t="s">
        <v>61</v>
      </c>
      <c r="I14">
        <v>6</v>
      </c>
      <c r="J14" t="s">
        <v>28</v>
      </c>
      <c r="AC14" s="14" t="s">
        <v>61</v>
      </c>
      <c r="AD14" s="12">
        <v>7</v>
      </c>
      <c r="AE14" t="s">
        <v>28</v>
      </c>
    </row>
    <row r="15" spans="1:31" x14ac:dyDescent="0.25">
      <c r="H15" t="s">
        <v>62</v>
      </c>
      <c r="I15">
        <v>2.25</v>
      </c>
      <c r="J15" t="s">
        <v>37</v>
      </c>
      <c r="AC15" s="14" t="s">
        <v>62</v>
      </c>
      <c r="AD15" s="12">
        <v>2.25</v>
      </c>
      <c r="AE15" t="s">
        <v>37</v>
      </c>
    </row>
    <row r="16" spans="1:31" ht="18.75" x14ac:dyDescent="0.3">
      <c r="A16" s="5" t="s">
        <v>10</v>
      </c>
      <c r="H16" t="s">
        <v>63</v>
      </c>
      <c r="I16">
        <v>1.58</v>
      </c>
      <c r="J16" t="s">
        <v>27</v>
      </c>
      <c r="AC16" s="14" t="s">
        <v>63</v>
      </c>
      <c r="AD16" s="12">
        <v>2.19</v>
      </c>
      <c r="AE16" t="s">
        <v>27</v>
      </c>
    </row>
    <row r="17" spans="1:34" x14ac:dyDescent="0.25">
      <c r="B17" t="s">
        <v>14</v>
      </c>
      <c r="C17" t="s">
        <v>15</v>
      </c>
      <c r="D17" t="s">
        <v>16</v>
      </c>
      <c r="H17" t="s">
        <v>65</v>
      </c>
      <c r="I17">
        <v>-0.78</v>
      </c>
      <c r="J17" t="s">
        <v>37</v>
      </c>
      <c r="AC17" s="14" t="s">
        <v>65</v>
      </c>
      <c r="AD17" s="12">
        <v>-0.79</v>
      </c>
      <c r="AE17" t="s">
        <v>37</v>
      </c>
    </row>
    <row r="18" spans="1:34" x14ac:dyDescent="0.25">
      <c r="A18" t="s">
        <v>11</v>
      </c>
      <c r="B18">
        <v>34</v>
      </c>
      <c r="C18">
        <v>56</v>
      </c>
      <c r="D18">
        <v>18</v>
      </c>
      <c r="E18" t="s">
        <v>22</v>
      </c>
      <c r="H18" t="s">
        <v>64</v>
      </c>
      <c r="I18">
        <v>-0.61</v>
      </c>
      <c r="J18" t="s">
        <v>37</v>
      </c>
      <c r="AC18" s="14" t="s">
        <v>64</v>
      </c>
      <c r="AD18" s="12">
        <v>-0.63</v>
      </c>
      <c r="AE18" t="s">
        <v>37</v>
      </c>
    </row>
    <row r="19" spans="1:34" x14ac:dyDescent="0.25">
      <c r="A19" t="s">
        <v>12</v>
      </c>
      <c r="B19">
        <v>40</v>
      </c>
      <c r="C19">
        <v>20</v>
      </c>
      <c r="D19">
        <v>12.0625</v>
      </c>
      <c r="E19" t="s">
        <v>23</v>
      </c>
      <c r="H19" t="s">
        <v>67</v>
      </c>
      <c r="I19">
        <f>I14*I18</f>
        <v>-3.66</v>
      </c>
      <c r="J19" t="s">
        <v>42</v>
      </c>
      <c r="AC19" s="14" t="s">
        <v>67</v>
      </c>
      <c r="AD19" s="12">
        <f>AD14*AD18</f>
        <v>-4.41</v>
      </c>
      <c r="AE19" t="s">
        <v>42</v>
      </c>
    </row>
    <row r="20" spans="1:34" x14ac:dyDescent="0.25">
      <c r="A20" t="s">
        <v>13</v>
      </c>
      <c r="B20">
        <v>1.45</v>
      </c>
      <c r="C20">
        <v>1.375</v>
      </c>
      <c r="D20">
        <v>1.08</v>
      </c>
      <c r="E20" t="s">
        <v>23</v>
      </c>
      <c r="H20" t="s">
        <v>68</v>
      </c>
      <c r="I20">
        <f>I16*I17</f>
        <v>-1.2324000000000002</v>
      </c>
      <c r="J20" t="s">
        <v>56</v>
      </c>
      <c r="AC20" s="14" t="s">
        <v>68</v>
      </c>
      <c r="AD20" s="12">
        <f>AD16*AD17</f>
        <v>-1.7301</v>
      </c>
      <c r="AE20" t="s">
        <v>56</v>
      </c>
    </row>
    <row r="21" spans="1:34" x14ac:dyDescent="0.25">
      <c r="A21" t="s">
        <v>17</v>
      </c>
      <c r="B21">
        <f>B19/2</f>
        <v>20</v>
      </c>
      <c r="C21">
        <f>C19/2</f>
        <v>10</v>
      </c>
      <c r="D21">
        <f>D19/2</f>
        <v>6.03125</v>
      </c>
      <c r="E21" t="s">
        <v>23</v>
      </c>
      <c r="AC21" s="14"/>
    </row>
    <row r="22" spans="1:34" x14ac:dyDescent="0.25">
      <c r="H22" t="s">
        <v>38</v>
      </c>
      <c r="I22" s="6">
        <v>24</v>
      </c>
      <c r="J22" t="s">
        <v>28</v>
      </c>
      <c r="AC22" s="14" t="s">
        <v>38</v>
      </c>
      <c r="AD22" s="6">
        <v>24</v>
      </c>
      <c r="AE22" t="s">
        <v>28</v>
      </c>
    </row>
    <row r="23" spans="1:34" x14ac:dyDescent="0.25">
      <c r="A23" t="s">
        <v>21</v>
      </c>
      <c r="B23">
        <v>24</v>
      </c>
      <c r="C23" t="s">
        <v>22</v>
      </c>
      <c r="H23" t="s">
        <v>39</v>
      </c>
      <c r="I23" s="6">
        <v>2.75</v>
      </c>
      <c r="J23" t="s">
        <v>37</v>
      </c>
      <c r="AC23" s="14" t="s">
        <v>39</v>
      </c>
      <c r="AD23" s="6">
        <v>2.75</v>
      </c>
      <c r="AE23" t="s">
        <v>37</v>
      </c>
    </row>
    <row r="24" spans="1:34" x14ac:dyDescent="0.25">
      <c r="A24" t="s">
        <v>18</v>
      </c>
      <c r="B24">
        <v>2.75</v>
      </c>
      <c r="C24" t="s">
        <v>23</v>
      </c>
      <c r="H24" t="s">
        <v>20</v>
      </c>
      <c r="I24" s="6">
        <v>1.52</v>
      </c>
      <c r="J24" t="s">
        <v>37</v>
      </c>
      <c r="AC24" s="14" t="s">
        <v>20</v>
      </c>
      <c r="AD24" s="6">
        <v>1.52</v>
      </c>
      <c r="AE24" t="s">
        <v>37</v>
      </c>
    </row>
    <row r="25" spans="1:34" x14ac:dyDescent="0.25">
      <c r="A25" t="s">
        <v>19</v>
      </c>
      <c r="B25">
        <v>0.7</v>
      </c>
      <c r="C25" t="s">
        <v>23</v>
      </c>
      <c r="H25" t="s">
        <v>40</v>
      </c>
      <c r="I25" s="8">
        <f>I7-I23-0.75</f>
        <v>8.5625</v>
      </c>
      <c r="J25" t="s">
        <v>37</v>
      </c>
      <c r="AC25" s="14" t="s">
        <v>40</v>
      </c>
      <c r="AD25" s="8">
        <f>AD7-AD23</f>
        <v>35.25</v>
      </c>
      <c r="AE25" t="s">
        <v>37</v>
      </c>
    </row>
    <row r="26" spans="1:34" x14ac:dyDescent="0.25">
      <c r="A26" t="s">
        <v>20</v>
      </c>
      <c r="B26">
        <v>1.52</v>
      </c>
      <c r="C26" t="s">
        <v>23</v>
      </c>
      <c r="I26" s="6"/>
      <c r="AC26" s="14"/>
      <c r="AD26" s="6"/>
    </row>
    <row r="27" spans="1:34" x14ac:dyDescent="0.25">
      <c r="H27" t="s">
        <v>41</v>
      </c>
      <c r="I27" s="6">
        <f>I25+I24</f>
        <v>10.0825</v>
      </c>
      <c r="AC27" s="14" t="s">
        <v>41</v>
      </c>
      <c r="AD27" s="6">
        <f>AD25+AD24</f>
        <v>36.770000000000003</v>
      </c>
    </row>
    <row r="28" spans="1:34" x14ac:dyDescent="0.25">
      <c r="A28" t="s">
        <v>24</v>
      </c>
      <c r="B28">
        <f>0.7854*4^2</f>
        <v>12.5664</v>
      </c>
      <c r="C28" t="s">
        <v>27</v>
      </c>
      <c r="H28" t="s">
        <v>58</v>
      </c>
      <c r="I28" s="6">
        <f>I22*I27</f>
        <v>241.98</v>
      </c>
      <c r="J28" t="s">
        <v>42</v>
      </c>
      <c r="AC28" s="14" t="s">
        <v>58</v>
      </c>
      <c r="AD28" s="6">
        <f>AD22*AD27</f>
        <v>882.48</v>
      </c>
      <c r="AE28" t="s">
        <v>42</v>
      </c>
    </row>
    <row r="29" spans="1:34" x14ac:dyDescent="0.25">
      <c r="A29" t="s">
        <v>25</v>
      </c>
      <c r="B29">
        <v>4.5999999999999996</v>
      </c>
      <c r="C29" t="s">
        <v>28</v>
      </c>
      <c r="I29" s="6"/>
      <c r="AC29" s="14"/>
      <c r="AD29" s="6"/>
    </row>
    <row r="30" spans="1:34" x14ac:dyDescent="0.25">
      <c r="A30" t="s">
        <v>26</v>
      </c>
      <c r="B30">
        <f>B29/B28</f>
        <v>0.36605551311433659</v>
      </c>
      <c r="C30" t="s">
        <v>29</v>
      </c>
      <c r="H30" t="s">
        <v>43</v>
      </c>
      <c r="I30" s="6">
        <f>SUM(I28,I11)/SUM(I6,I22)</f>
        <v>8.3462500000000013</v>
      </c>
      <c r="J30" t="s">
        <v>37</v>
      </c>
      <c r="AC30" s="14" t="s">
        <v>43</v>
      </c>
      <c r="AD30" s="6">
        <f>SUM(AD28,AD11)/SUM(AD6,AD22)</f>
        <v>26.575133214920069</v>
      </c>
      <c r="AE30" t="s">
        <v>37</v>
      </c>
    </row>
    <row r="31" spans="1:34" x14ac:dyDescent="0.25">
      <c r="AC31" s="14"/>
    </row>
    <row r="32" spans="1:34" x14ac:dyDescent="0.25">
      <c r="A32" t="s">
        <v>69</v>
      </c>
      <c r="B32">
        <v>3</v>
      </c>
      <c r="C32" t="s">
        <v>28</v>
      </c>
      <c r="H32" t="s">
        <v>44</v>
      </c>
      <c r="I32" s="7">
        <f>B30</f>
        <v>0.36605551311433659</v>
      </c>
      <c r="J32" t="s">
        <v>29</v>
      </c>
      <c r="AC32" s="14" t="s">
        <v>44</v>
      </c>
      <c r="AD32" s="7"/>
      <c r="AE32" t="s">
        <v>29</v>
      </c>
      <c r="AH32" s="11" t="s">
        <v>76</v>
      </c>
    </row>
    <row r="33" spans="1:36" x14ac:dyDescent="0.25">
      <c r="A33" t="s">
        <v>70</v>
      </c>
      <c r="B33">
        <v>1</v>
      </c>
      <c r="C33" t="s">
        <v>37</v>
      </c>
      <c r="H33" t="s">
        <v>45</v>
      </c>
      <c r="I33" s="9">
        <f>0.7854*4^2/2</f>
        <v>6.2831999999999999</v>
      </c>
      <c r="J33" t="s">
        <v>27</v>
      </c>
      <c r="AC33" s="14" t="s">
        <v>45</v>
      </c>
      <c r="AD33" s="9"/>
      <c r="AE33" t="s">
        <v>27</v>
      </c>
      <c r="AH33" t="s">
        <v>77</v>
      </c>
      <c r="AI33" s="15">
        <v>2</v>
      </c>
      <c r="AJ33" t="s">
        <v>37</v>
      </c>
    </row>
    <row r="34" spans="1:36" x14ac:dyDescent="0.25">
      <c r="A34" t="s">
        <v>72</v>
      </c>
      <c r="B34">
        <f>B32*B33</f>
        <v>3</v>
      </c>
      <c r="C34" t="s">
        <v>42</v>
      </c>
      <c r="H34" t="s">
        <v>49</v>
      </c>
      <c r="I34">
        <v>2</v>
      </c>
      <c r="J34" t="s">
        <v>37</v>
      </c>
      <c r="AC34" s="14" t="s">
        <v>49</v>
      </c>
      <c r="AE34" t="s">
        <v>37</v>
      </c>
      <c r="AH34" t="s">
        <v>78</v>
      </c>
      <c r="AI34" s="16">
        <v>1</v>
      </c>
      <c r="AJ34" t="s">
        <v>37</v>
      </c>
    </row>
    <row r="35" spans="1:36" x14ac:dyDescent="0.25">
      <c r="H35" t="s">
        <v>47</v>
      </c>
      <c r="I35" s="9">
        <v>4</v>
      </c>
      <c r="J35" t="s">
        <v>48</v>
      </c>
      <c r="AC35" s="14" t="s">
        <v>47</v>
      </c>
      <c r="AD35" s="9">
        <v>3</v>
      </c>
      <c r="AE35" t="s">
        <v>48</v>
      </c>
      <c r="AH35" t="s">
        <v>79</v>
      </c>
      <c r="AI35" s="16"/>
      <c r="AJ35" t="s">
        <v>82</v>
      </c>
    </row>
    <row r="36" spans="1:36" x14ac:dyDescent="0.25">
      <c r="H36" t="s">
        <v>50</v>
      </c>
      <c r="I36">
        <f>I32*I33*I35</f>
        <v>9.1999999999999993</v>
      </c>
      <c r="J36" t="s">
        <v>28</v>
      </c>
      <c r="AC36" s="14" t="s">
        <v>50</v>
      </c>
      <c r="AE36" t="s">
        <v>28</v>
      </c>
      <c r="AH36" t="s">
        <v>80</v>
      </c>
      <c r="AI36" s="16">
        <v>30</v>
      </c>
      <c r="AJ36" t="s">
        <v>82</v>
      </c>
    </row>
    <row r="37" spans="1:36" x14ac:dyDescent="0.25">
      <c r="H37" t="s">
        <v>51</v>
      </c>
      <c r="I37">
        <f>I33*2</f>
        <v>12.5664</v>
      </c>
      <c r="J37" t="s">
        <v>27</v>
      </c>
      <c r="AC37" s="14" t="s">
        <v>51</v>
      </c>
      <c r="AE37" t="s">
        <v>27</v>
      </c>
      <c r="AH37" t="s">
        <v>81</v>
      </c>
      <c r="AI37" s="17">
        <v>2</v>
      </c>
      <c r="AJ37" t="s">
        <v>37</v>
      </c>
    </row>
    <row r="38" spans="1:36" x14ac:dyDescent="0.25">
      <c r="H38" t="s">
        <v>52</v>
      </c>
      <c r="I38" s="8">
        <f>I7-4+2</f>
        <v>10.0625</v>
      </c>
      <c r="AC38" s="14" t="s">
        <v>52</v>
      </c>
      <c r="AD38" s="8">
        <f>AD7</f>
        <v>38</v>
      </c>
      <c r="AH38" t="s">
        <v>83</v>
      </c>
      <c r="AI38">
        <f>0.5*(AI33+AI34)*AI37</f>
        <v>3</v>
      </c>
    </row>
    <row r="39" spans="1:36" x14ac:dyDescent="0.25">
      <c r="H39" t="s">
        <v>46</v>
      </c>
      <c r="I39" s="6">
        <f>I38+2</f>
        <v>12.0625</v>
      </c>
      <c r="AC39" s="14" t="s">
        <v>46</v>
      </c>
      <c r="AD39" s="6"/>
      <c r="AH39" t="s">
        <v>85</v>
      </c>
      <c r="AI39" s="18">
        <v>0.26500000000000001</v>
      </c>
    </row>
    <row r="40" spans="1:36" x14ac:dyDescent="0.25">
      <c r="H40" t="s">
        <v>55</v>
      </c>
      <c r="I40">
        <f>I36*I39</f>
        <v>110.97499999999999</v>
      </c>
      <c r="J40" t="s">
        <v>42</v>
      </c>
      <c r="AC40" s="14" t="s">
        <v>55</v>
      </c>
      <c r="AE40" t="s">
        <v>42</v>
      </c>
      <c r="AH40" t="s">
        <v>86</v>
      </c>
      <c r="AI40" s="18">
        <v>0.88800000000000001</v>
      </c>
    </row>
    <row r="41" spans="1:36" x14ac:dyDescent="0.25">
      <c r="H41" t="s">
        <v>54</v>
      </c>
      <c r="I41" s="6">
        <f>I37*I39</f>
        <v>151.5822</v>
      </c>
      <c r="J41" t="s">
        <v>56</v>
      </c>
      <c r="AC41" s="14" t="s">
        <v>54</v>
      </c>
      <c r="AD41" s="6"/>
      <c r="AE41" t="s">
        <v>56</v>
      </c>
    </row>
    <row r="42" spans="1:36" x14ac:dyDescent="0.25">
      <c r="AC42" s="14"/>
      <c r="AH42" t="s">
        <v>84</v>
      </c>
    </row>
    <row r="43" spans="1:36" x14ac:dyDescent="0.25">
      <c r="H43" t="s">
        <v>71</v>
      </c>
      <c r="I43" s="6">
        <f>SUM(I11,I19,I28,I40,B34)/SUM(I6,I14,I22,I36,B32)</f>
        <v>7.6554401993355468</v>
      </c>
      <c r="J43" t="s">
        <v>37</v>
      </c>
      <c r="AC43" s="14" t="s">
        <v>71</v>
      </c>
      <c r="AD43" s="6">
        <f>SUM(AD11,AD19,AD28,AD40,B34)/SUM(AD6,AD14,AD22,AD36,B32)</f>
        <v>22.545550527903469</v>
      </c>
      <c r="AE43" t="s">
        <v>37</v>
      </c>
    </row>
    <row r="44" spans="1:36" x14ac:dyDescent="0.25">
      <c r="H44" t="s">
        <v>66</v>
      </c>
      <c r="I44" s="6">
        <f>SUM(I12,I20,I41)/SUM(I10,I16,I37)</f>
        <v>8.424330308678547</v>
      </c>
      <c r="J44" t="s">
        <v>37</v>
      </c>
      <c r="AC44" s="14" t="s">
        <v>66</v>
      </c>
      <c r="AD44" s="6">
        <f>SUM(AD12,AD20,AD41)/SUM(AD10,AD16,AD37)</f>
        <v>18.243496247163556</v>
      </c>
      <c r="AE44" t="s">
        <v>37</v>
      </c>
    </row>
    <row r="45" spans="1:36" x14ac:dyDescent="0.25">
      <c r="H45" t="s">
        <v>87</v>
      </c>
      <c r="I45">
        <v>7.5</v>
      </c>
      <c r="AC45" s="14"/>
    </row>
    <row r="46" spans="1:36" x14ac:dyDescent="0.25">
      <c r="H46" t="s">
        <v>88</v>
      </c>
      <c r="I46" s="6">
        <f>I45-I43</f>
        <v>-0.15544019933554676</v>
      </c>
      <c r="AC46" s="14" t="s">
        <v>73</v>
      </c>
      <c r="AD46" s="6">
        <f>SUM(AD6,AD14,AD22,AD36,F32)</f>
        <v>63.3</v>
      </c>
      <c r="AE46" t="s">
        <v>28</v>
      </c>
    </row>
    <row r="47" spans="1:36" x14ac:dyDescent="0.25">
      <c r="AC47" s="14"/>
      <c r="AD47" s="10">
        <f>AD46/29.4</f>
        <v>2.1530612244897958</v>
      </c>
      <c r="AE47" t="s">
        <v>74</v>
      </c>
    </row>
    <row r="48" spans="1:36" x14ac:dyDescent="0.25">
      <c r="H48" t="s">
        <v>73</v>
      </c>
      <c r="I48" s="6">
        <f>SUM(I6,I14,I22,I36,B32)</f>
        <v>60.2</v>
      </c>
      <c r="J48" t="s">
        <v>28</v>
      </c>
    </row>
    <row r="49" spans="9:10" x14ac:dyDescent="0.25">
      <c r="I49" s="10">
        <f>I48/29.4</f>
        <v>2.0476190476190479</v>
      </c>
      <c r="J49" t="s">
        <v>74</v>
      </c>
    </row>
  </sheetData>
  <conditionalFormatting sqref="I43:I44">
    <cfRule type="cellIs" dxfId="1" priority="2" operator="lessThan">
      <formula>$I$43</formula>
    </cfRule>
  </conditionalFormatting>
  <conditionalFormatting sqref="AD43:AD44">
    <cfRule type="cellIs" dxfId="0" priority="1" operator="lessThan">
      <formula>$I$43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</dc:creator>
  <cp:lastModifiedBy>Thompson</cp:lastModifiedBy>
  <dcterms:created xsi:type="dcterms:W3CDTF">2019-10-09T01:39:38Z</dcterms:created>
  <dcterms:modified xsi:type="dcterms:W3CDTF">2020-02-19T23:45:20Z</dcterms:modified>
</cp:coreProperties>
</file>